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piemonte" sheetId="6" r:id="rId1"/>
    <sheet name="veneto" sheetId="5" r:id="rId2"/>
  </sheets>
  <calcPr calcId="145621"/>
</workbook>
</file>

<file path=xl/calcChain.xml><?xml version="1.0" encoding="utf-8"?>
<calcChain xmlns="http://schemas.openxmlformats.org/spreadsheetml/2006/main">
  <c r="E15" i="6" l="1"/>
  <c r="E13" i="6"/>
  <c r="E11" i="6"/>
  <c r="K12" i="5" l="1"/>
  <c r="N10" i="5" l="1"/>
  <c r="O39" i="5"/>
  <c r="O40" i="5" s="1"/>
  <c r="O41" i="5" s="1"/>
  <c r="O42" i="5" s="1"/>
  <c r="O43" i="5" s="1"/>
  <c r="O44" i="5" s="1"/>
  <c r="O45" i="5" s="1"/>
  <c r="O46" i="5" s="1"/>
  <c r="O47" i="5" s="1"/>
  <c r="O48" i="5" s="1"/>
  <c r="N11" i="5"/>
  <c r="K11" i="5"/>
  <c r="K18" i="5" s="1"/>
  <c r="N18" i="5" l="1"/>
  <c r="O50" i="5"/>
  <c r="O52" i="5" s="1"/>
  <c r="N30" i="5" s="1"/>
  <c r="O49" i="5"/>
  <c r="O51" i="5" s="1"/>
  <c r="N29" i="5" s="1"/>
  <c r="K20" i="5"/>
  <c r="M30" i="6"/>
  <c r="M31" i="6" s="1"/>
  <c r="M32" i="6" s="1"/>
  <c r="M33" i="6" s="1"/>
  <c r="M34" i="6" s="1"/>
  <c r="M35" i="6" s="1"/>
  <c r="M36" i="6" s="1"/>
  <c r="M37" i="6" s="1"/>
  <c r="M38" i="6" s="1"/>
  <c r="M39" i="6" s="1"/>
  <c r="K20" i="6"/>
  <c r="K19" i="6"/>
  <c r="H24" i="6"/>
  <c r="H23" i="6"/>
  <c r="E23" i="6"/>
  <c r="E20" i="6"/>
  <c r="E19" i="6"/>
  <c r="M40" i="6" l="1"/>
  <c r="M42" i="6" s="1"/>
  <c r="K23" i="6" s="1"/>
  <c r="M41" i="6"/>
  <c r="M43" i="6" s="1"/>
  <c r="K24" i="6" s="1"/>
  <c r="K8" i="6"/>
  <c r="H8" i="6"/>
  <c r="H13" i="6" s="1"/>
  <c r="E8" i="6"/>
  <c r="K7" i="6"/>
  <c r="K9" i="6"/>
  <c r="H9" i="6"/>
  <c r="E9" i="6"/>
  <c r="E24" i="6"/>
  <c r="K13" i="6" l="1"/>
  <c r="K15" i="6"/>
  <c r="H15" i="6"/>
  <c r="E8" i="5" l="1"/>
  <c r="H14" i="5"/>
  <c r="H8" i="5"/>
  <c r="E12" i="5" l="1"/>
  <c r="H12" i="5"/>
  <c r="E16" i="5"/>
  <c r="E29" i="5"/>
  <c r="H11" i="5"/>
  <c r="H30" i="5"/>
  <c r="K29" i="5"/>
  <c r="E11" i="5"/>
  <c r="E10" i="5" s="1"/>
  <c r="K30" i="5"/>
  <c r="H24" i="5"/>
  <c r="H25" i="5"/>
  <c r="K24" i="5"/>
  <c r="K25" i="5"/>
  <c r="E30" i="5"/>
  <c r="E24" i="5"/>
  <c r="E25" i="5"/>
  <c r="H29" i="5"/>
  <c r="E14" i="5"/>
  <c r="E18" i="5" l="1"/>
  <c r="E20" i="5"/>
  <c r="H10" i="5"/>
  <c r="H18" i="5" s="1"/>
  <c r="N20" i="5"/>
  <c r="H20" i="5" l="1"/>
</calcChain>
</file>

<file path=xl/sharedStrings.xml><?xml version="1.0" encoding="utf-8"?>
<sst xmlns="http://schemas.openxmlformats.org/spreadsheetml/2006/main" count="91" uniqueCount="49">
  <si>
    <t>Indennità di carica</t>
  </si>
  <si>
    <t xml:space="preserve">Indennità di carica </t>
  </si>
  <si>
    <t>(tratt. i.f.m.)</t>
  </si>
  <si>
    <t>(tratt. vit.)</t>
  </si>
  <si>
    <t>(rit. fisc.)</t>
  </si>
  <si>
    <t>Diaria</t>
  </si>
  <si>
    <t>vitalizio (da 65 anni)</t>
  </si>
  <si>
    <t xml:space="preserve"> </t>
  </si>
  <si>
    <t>Rimborso spese per l' esercizio dle mandato</t>
  </si>
  <si>
    <t>Indennità di fine mandato</t>
  </si>
  <si>
    <t>5 anni di contributi</t>
  </si>
  <si>
    <t>10 anni di contributi</t>
  </si>
  <si>
    <t>abolita</t>
  </si>
  <si>
    <t>(1)</t>
  </si>
  <si>
    <t>(2)</t>
  </si>
  <si>
    <t>(3)</t>
  </si>
  <si>
    <t>abolito</t>
  </si>
  <si>
    <t>nuovo sistema</t>
  </si>
  <si>
    <t>media annuale  gettoni di presenza per consigliere, 2012</t>
  </si>
  <si>
    <t>media mensile gettoni di presenza per consigliere, 2012</t>
  </si>
  <si>
    <t xml:space="preserve">Rimborso forfetario mensile </t>
  </si>
  <si>
    <t>http://www.cr.piemonte.it/cms/organizzazione/amministrazione-trasparente/organizzazione/item/378-rimborso-spese.html</t>
  </si>
  <si>
    <t>(rit. IRPEF)</t>
  </si>
  <si>
    <t>totale gettoni di presenza in 2012</t>
  </si>
  <si>
    <t>totale sedute</t>
  </si>
  <si>
    <t>media sedute mensili</t>
  </si>
  <si>
    <t>http://www.cr.piemonte.it/seduteconsiglio/appl/search/index.php?pagina=10</t>
  </si>
  <si>
    <t>numero sedute, 2012</t>
  </si>
  <si>
    <t>Gettoni di presenza in ogni mese, 2011</t>
  </si>
  <si>
    <t>(rit. addiz. reg.)</t>
  </si>
  <si>
    <t>http://www.consiglioregionale.piemonte.it/8/assemblea/trattamento_economico/</t>
  </si>
  <si>
    <t>http://www.cr.piemonte.it/cms/organizzazione/amministrazione-trasparente/organizzazione/item/222-trattamento-economico-dei-consiglieri.html</t>
  </si>
  <si>
    <t>PIEMONTE</t>
  </si>
  <si>
    <t>Fonte per il periodo prima del 1/1/2013</t>
  </si>
  <si>
    <t>Fonte per il periodo dal 1/1/2013</t>
  </si>
  <si>
    <t>Fonte:</t>
  </si>
  <si>
    <t>Calcolo della pensione con retributivo (assume rivalutazione annua al 2 percento)</t>
  </si>
  <si>
    <t>Montante, dopo 5 anni</t>
  </si>
  <si>
    <t>Montante, dopo 10 anni</t>
  </si>
  <si>
    <t>Pensione annuale, dopo 5 anni</t>
  </si>
  <si>
    <t>Pensione annuale, dopo 10 anni</t>
  </si>
  <si>
    <t>Netto a presenze massime</t>
  </si>
  <si>
    <t>Rimborso forfetario spese di missione</t>
  </si>
  <si>
    <t>Netto con 0 assenze</t>
  </si>
  <si>
    <t>Prossima legislatura</t>
  </si>
  <si>
    <t>(4)</t>
  </si>
  <si>
    <t xml:space="preserve">Netto con 4 assenze </t>
  </si>
  <si>
    <t>Netto con 4 assenze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</si>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</sst>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</font>
    <font>
      <sz val="11"/>
      <color rgb="FF0070C0"/>
      <name val="Calibri"/>
      <family val="2"/>
    </font>
    <font>
      <i/>
      <sz val="11"/>
      <color rgb="FF00B0F0"/>
      <name val="Calibri"/>
      <family val="2"/>
    </font>
    <font>
      <i/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0" fillId="0" borderId="0" xfId="0" applyNumberFormat="1"/>
    <xf numFmtId="0" fontId="1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1" applyFont="1" applyAlignment="1" applyProtection="1"/>
    <xf numFmtId="0" fontId="8" fillId="0" borderId="0" xfId="1" applyFont="1" applyAlignment="1" applyProtection="1"/>
    <xf numFmtId="0" fontId="0" fillId="0" borderId="0" xfId="0" applyAlignment="1"/>
    <xf numFmtId="1" fontId="0" fillId="0" borderId="0" xfId="0" applyNumberFormat="1" applyAlignment="1"/>
    <xf numFmtId="0" fontId="9" fillId="0" borderId="0" xfId="1" applyFont="1" applyAlignment="1" applyProtection="1"/>
    <xf numFmtId="0" fontId="10" fillId="0" borderId="0" xfId="0" applyFont="1"/>
    <xf numFmtId="0" fontId="1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/>
    <xf numFmtId="1" fontId="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r.piemonte.it/cms/organizzazione/amministrazione-trasparente/organizzazione/item/222-trattamento-economico-dei-consiglieri.html" TargetMode="External"/><Relationship Id="rId2" Type="http://schemas.openxmlformats.org/officeDocument/2006/relationships/hyperlink" Target="http://www.consiglioregionale.piemonte.it/8/assemblea/trattamento_economico/" TargetMode="External"/><Relationship Id="rId1" Type="http://schemas.openxmlformats.org/officeDocument/2006/relationships/hyperlink" Target="http://www.cr.piemonte.it/cms/organizzazione/amministrazione-trasparente/organizzazione/item/378-rimborso-spese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r.piemonte.it/seduteconsiglio/appl/search/index.php?pagina=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7"/>
  <sheetViews>
    <sheetView workbookViewId="0">
      <selection activeCell="K29" sqref="K29"/>
    </sheetView>
  </sheetViews>
  <sheetFormatPr defaultRowHeight="15" x14ac:dyDescent="0.25"/>
  <sheetData>
    <row r="1" spans="1:18" x14ac:dyDescent="0.25">
      <c r="H1" s="20" t="s">
        <v>32</v>
      </c>
    </row>
    <row r="2" spans="1:18" x14ac:dyDescent="0.25">
      <c r="E2" s="19">
        <v>2012</v>
      </c>
      <c r="H2" s="18">
        <v>2013</v>
      </c>
      <c r="K2" s="9" t="s">
        <v>44</v>
      </c>
    </row>
    <row r="3" spans="1:18" x14ac:dyDescent="0.25">
      <c r="E3" s="9" t="s">
        <v>13</v>
      </c>
      <c r="F3" s="15"/>
      <c r="G3" t="s">
        <v>7</v>
      </c>
      <c r="H3" s="9" t="s">
        <v>14</v>
      </c>
      <c r="K3" s="9" t="s">
        <v>15</v>
      </c>
      <c r="Q3" s="2"/>
    </row>
    <row r="4" spans="1:18" x14ac:dyDescent="0.25">
      <c r="F4" s="16"/>
      <c r="K4" s="16"/>
    </row>
    <row r="5" spans="1:18" x14ac:dyDescent="0.25">
      <c r="A5" s="3" t="s">
        <v>0</v>
      </c>
      <c r="B5" t="s">
        <v>7</v>
      </c>
      <c r="E5" s="1">
        <v>9948</v>
      </c>
      <c r="F5" s="16"/>
      <c r="H5" s="1">
        <v>6600</v>
      </c>
      <c r="I5" s="16"/>
      <c r="K5" s="1">
        <v>6600</v>
      </c>
      <c r="N5" t="s">
        <v>7</v>
      </c>
      <c r="Q5" s="16"/>
    </row>
    <row r="6" spans="1:18" x14ac:dyDescent="0.25">
      <c r="A6" s="4" t="s">
        <v>2</v>
      </c>
      <c r="E6" s="1">
        <v>-497</v>
      </c>
      <c r="F6" s="16"/>
      <c r="H6" s="1">
        <v>-330</v>
      </c>
      <c r="I6" s="16"/>
      <c r="K6" s="1">
        <v>-330</v>
      </c>
      <c r="Q6" s="16"/>
    </row>
    <row r="7" spans="1:18" x14ac:dyDescent="0.25">
      <c r="A7" s="4" t="s">
        <v>3</v>
      </c>
      <c r="E7" s="1">
        <v>-1990</v>
      </c>
      <c r="F7" s="16"/>
      <c r="H7" s="1">
        <v>-1320</v>
      </c>
      <c r="I7" s="16"/>
      <c r="K7" s="1">
        <f>-K5*0.088</f>
        <v>-580.79999999999995</v>
      </c>
      <c r="Q7" s="16"/>
    </row>
    <row r="8" spans="1:18" x14ac:dyDescent="0.25">
      <c r="A8" s="4" t="s">
        <v>22</v>
      </c>
      <c r="E8" s="1">
        <f>-(25420+0.43*((E5+E6)*12-75000))/12</f>
        <v>-3494.7633333333338</v>
      </c>
      <c r="F8" s="15">
        <v>1</v>
      </c>
      <c r="G8" t="s">
        <v>7</v>
      </c>
      <c r="H8" s="1">
        <f>-(25420+0.43*((H5+H6)*12-75000))/12</f>
        <v>-2126.9333333333334</v>
      </c>
      <c r="I8" s="15"/>
      <c r="K8" s="1">
        <f>-(25420+0.43*((K5+K6)*12-75000))/12</f>
        <v>-2126.9333333333334</v>
      </c>
      <c r="L8" s="15"/>
      <c r="R8" t="s">
        <v>7</v>
      </c>
    </row>
    <row r="9" spans="1:18" x14ac:dyDescent="0.25">
      <c r="A9" s="4" t="s">
        <v>29</v>
      </c>
      <c r="E9" s="1">
        <f>-E5*0.0173</f>
        <v>-172.10040000000001</v>
      </c>
      <c r="F9" s="15"/>
      <c r="G9" t="s">
        <v>7</v>
      </c>
      <c r="H9" s="1">
        <f>-H5*0.0173</f>
        <v>-114.17999999999999</v>
      </c>
      <c r="I9" s="15"/>
      <c r="K9" s="1">
        <f>-K5*0.0173</f>
        <v>-114.17999999999999</v>
      </c>
      <c r="L9" s="15"/>
      <c r="R9" t="s">
        <v>7</v>
      </c>
    </row>
    <row r="10" spans="1:18" x14ac:dyDescent="0.25">
      <c r="A10" s="3"/>
      <c r="E10" s="1"/>
      <c r="F10" s="16"/>
      <c r="H10" s="1"/>
      <c r="I10" s="16"/>
      <c r="K10" s="1"/>
      <c r="L10" s="16"/>
    </row>
    <row r="11" spans="1:18" x14ac:dyDescent="0.25">
      <c r="A11" s="3" t="s">
        <v>20</v>
      </c>
      <c r="E11" s="1">
        <f>977+1425</f>
        <v>2402</v>
      </c>
      <c r="F11" s="16">
        <v>2</v>
      </c>
      <c r="H11" s="1">
        <v>4500</v>
      </c>
      <c r="I11" s="16"/>
      <c r="K11" s="1">
        <v>4500</v>
      </c>
      <c r="L11" s="16"/>
    </row>
    <row r="12" spans="1:18" x14ac:dyDescent="0.25">
      <c r="A12" s="3"/>
      <c r="E12" s="1"/>
      <c r="F12" s="16"/>
      <c r="H12" s="1"/>
      <c r="I12" s="16"/>
      <c r="K12" s="1"/>
      <c r="L12" s="16"/>
    </row>
    <row r="13" spans="1:18" x14ac:dyDescent="0.25">
      <c r="A13" s="5" t="s">
        <v>46</v>
      </c>
      <c r="E13" s="6">
        <f>SUM(E5:E11)+122*3</f>
        <v>6562.1362666666664</v>
      </c>
      <c r="F13" s="16">
        <v>3</v>
      </c>
      <c r="G13" t="s">
        <v>7</v>
      </c>
      <c r="H13" s="6">
        <f>SUM(H5:H11) - 150*4</f>
        <v>6608.8866666666672</v>
      </c>
      <c r="I13" s="16">
        <v>3</v>
      </c>
      <c r="K13" s="6">
        <f>SUM(K5:K11) - 150*4</f>
        <v>7348.0866666666661</v>
      </c>
      <c r="L13" s="16"/>
    </row>
    <row r="14" spans="1:18" x14ac:dyDescent="0.25">
      <c r="A14" s="3"/>
      <c r="E14" s="1"/>
      <c r="F14" s="16"/>
      <c r="H14" s="1"/>
      <c r="I14" s="16"/>
      <c r="K14" s="1"/>
      <c r="L14" s="16"/>
    </row>
    <row r="15" spans="1:18" x14ac:dyDescent="0.25">
      <c r="A15" s="5" t="s">
        <v>43</v>
      </c>
      <c r="E15" s="6">
        <f>SUM(E5:E11)+122*7</f>
        <v>7050.1362666666664</v>
      </c>
      <c r="F15" s="16">
        <v>3</v>
      </c>
      <c r="G15" t="s">
        <v>7</v>
      </c>
      <c r="H15" s="6">
        <f>SUM(H5:H11)</f>
        <v>7208.8866666666672</v>
      </c>
      <c r="I15" s="16">
        <v>3</v>
      </c>
      <c r="K15" s="6">
        <f>SUM(K5:K11)</f>
        <v>7948.0866666666661</v>
      </c>
      <c r="L15" s="16"/>
    </row>
    <row r="16" spans="1:18" x14ac:dyDescent="0.25">
      <c r="A16" s="3"/>
      <c r="E16" s="1"/>
      <c r="F16" s="16"/>
      <c r="H16" s="1"/>
      <c r="I16" s="16"/>
    </row>
    <row r="17" spans="1:15" x14ac:dyDescent="0.25">
      <c r="E17" s="1"/>
      <c r="F17" s="16"/>
      <c r="H17" s="1"/>
      <c r="I17" s="16"/>
    </row>
    <row r="18" spans="1:15" x14ac:dyDescent="0.25">
      <c r="A18" t="s">
        <v>9</v>
      </c>
      <c r="C18" s="1"/>
      <c r="D18" s="7"/>
      <c r="E18" s="1"/>
      <c r="F18" s="16"/>
      <c r="H18" s="1"/>
      <c r="I18" s="16"/>
    </row>
    <row r="19" spans="1:15" x14ac:dyDescent="0.25">
      <c r="A19" t="s">
        <v>10</v>
      </c>
      <c r="C19" s="1"/>
      <c r="E19" s="1">
        <f>5*E5*2</f>
        <v>99480</v>
      </c>
      <c r="F19" s="27">
        <v>4</v>
      </c>
      <c r="G19" t="s">
        <v>7</v>
      </c>
      <c r="H19" s="1">
        <v>33000</v>
      </c>
      <c r="I19" s="27">
        <v>5</v>
      </c>
      <c r="K19" s="1">
        <f>5*K5</f>
        <v>33000</v>
      </c>
      <c r="L19" s="17"/>
    </row>
    <row r="20" spans="1:15" x14ac:dyDescent="0.25">
      <c r="A20" t="s">
        <v>11</v>
      </c>
      <c r="C20" s="1"/>
      <c r="E20" s="1">
        <f>10*E5*2</f>
        <v>198960</v>
      </c>
      <c r="F20" s="16"/>
      <c r="H20" s="1">
        <v>66000</v>
      </c>
      <c r="I20" s="16"/>
      <c r="K20" s="1">
        <f>10*K5</f>
        <v>66000</v>
      </c>
    </row>
    <row r="21" spans="1:15" x14ac:dyDescent="0.25">
      <c r="C21" s="1"/>
      <c r="E21" s="1"/>
      <c r="F21" s="16"/>
      <c r="H21" s="1"/>
      <c r="I21" s="16"/>
    </row>
    <row r="22" spans="1:15" x14ac:dyDescent="0.25">
      <c r="A22" t="s">
        <v>6</v>
      </c>
      <c r="C22" s="1"/>
      <c r="D22" s="8"/>
      <c r="E22" s="1"/>
      <c r="F22" s="16"/>
      <c r="H22" s="1"/>
      <c r="I22" s="16"/>
      <c r="J22" s="1"/>
    </row>
    <row r="23" spans="1:15" x14ac:dyDescent="0.25">
      <c r="A23" t="s">
        <v>10</v>
      </c>
      <c r="C23" s="1"/>
      <c r="E23" s="14">
        <f>E5*0.3</f>
        <v>2984.4</v>
      </c>
      <c r="F23" s="27"/>
      <c r="G23" s="13" t="s">
        <v>7</v>
      </c>
      <c r="H23" s="14">
        <f>E5*0.3</f>
        <v>2984.4</v>
      </c>
      <c r="I23" s="17">
        <v>6</v>
      </c>
      <c r="J23" s="14"/>
      <c r="K23" s="14">
        <f>M42/12</f>
        <v>636.99325012857582</v>
      </c>
      <c r="L23" s="17"/>
      <c r="M23" s="13"/>
      <c r="O23" s="13"/>
    </row>
    <row r="24" spans="1:15" x14ac:dyDescent="0.25">
      <c r="A24" t="s">
        <v>11</v>
      </c>
      <c r="C24" s="1"/>
      <c r="E24" s="1">
        <f>E5*0.6</f>
        <v>5968.8</v>
      </c>
      <c r="F24" s="16"/>
      <c r="H24" s="1">
        <f>E5*0.6</f>
        <v>5968.8</v>
      </c>
      <c r="I24" s="16"/>
      <c r="J24" s="1"/>
      <c r="K24" s="1">
        <f>M43/12</f>
        <v>1340.2852693635125</v>
      </c>
    </row>
    <row r="25" spans="1:15" x14ac:dyDescent="0.25">
      <c r="F25" s="7"/>
    </row>
    <row r="26" spans="1:15" x14ac:dyDescent="0.25">
      <c r="F26" s="7"/>
    </row>
    <row r="28" spans="1:15" x14ac:dyDescent="0.25">
      <c r="A28" t="s">
        <v>28</v>
      </c>
      <c r="G28" t="s">
        <v>27</v>
      </c>
      <c r="L28" t="s">
        <v>36</v>
      </c>
      <c r="M28" t="s">
        <v>17</v>
      </c>
    </row>
    <row r="29" spans="1:15" x14ac:dyDescent="0.25">
      <c r="A29" t="s">
        <v>23</v>
      </c>
      <c r="C29">
        <v>1773</v>
      </c>
      <c r="F29" t="s">
        <v>24</v>
      </c>
      <c r="H29">
        <v>81</v>
      </c>
      <c r="M29">
        <v>0.02</v>
      </c>
    </row>
    <row r="30" spans="1:15" x14ac:dyDescent="0.25">
      <c r="A30" t="s">
        <v>18</v>
      </c>
      <c r="C30">
        <v>35.46</v>
      </c>
      <c r="F30" t="s">
        <v>25</v>
      </c>
      <c r="H30">
        <v>6.75</v>
      </c>
      <c r="L30" s="3">
        <v>1</v>
      </c>
      <c r="M30">
        <f>$K$5*(0.088+2.75*0.088)</f>
        <v>2177.9999999999995</v>
      </c>
    </row>
    <row r="31" spans="1:15" x14ac:dyDescent="0.25">
      <c r="A31" t="s">
        <v>19</v>
      </c>
      <c r="C31">
        <v>2.9550000000000001</v>
      </c>
      <c r="L31">
        <v>2</v>
      </c>
      <c r="M31">
        <f>M30*(1.02)</f>
        <v>2221.5599999999995</v>
      </c>
    </row>
    <row r="32" spans="1:15" x14ac:dyDescent="0.25">
      <c r="A32" t="s">
        <v>35</v>
      </c>
      <c r="C32" s="2" t="s">
        <v>21</v>
      </c>
      <c r="D32" t="s">
        <v>7</v>
      </c>
      <c r="F32" t="s">
        <v>35</v>
      </c>
      <c r="H32" s="2" t="s">
        <v>26</v>
      </c>
      <c r="I32" t="s">
        <v>7</v>
      </c>
      <c r="L32">
        <v>3</v>
      </c>
      <c r="M32">
        <f>M31*(1.02)</f>
        <v>2265.9911999999995</v>
      </c>
    </row>
    <row r="33" spans="1:13" x14ac:dyDescent="0.25">
      <c r="L33">
        <v>4</v>
      </c>
      <c r="M33">
        <f t="shared" ref="M33:M39" si="0">M32*(1.02)</f>
        <v>2311.3110239999996</v>
      </c>
    </row>
    <row r="34" spans="1:13" x14ac:dyDescent="0.25">
      <c r="L34">
        <v>5</v>
      </c>
      <c r="M34">
        <f t="shared" si="0"/>
        <v>2357.5372444799996</v>
      </c>
    </row>
    <row r="35" spans="1:13" x14ac:dyDescent="0.25">
      <c r="L35" s="3">
        <v>6</v>
      </c>
      <c r="M35">
        <f t="shared" si="0"/>
        <v>2404.6879893695996</v>
      </c>
    </row>
    <row r="36" spans="1:13" x14ac:dyDescent="0.25">
      <c r="L36">
        <v>7</v>
      </c>
      <c r="M36">
        <f t="shared" si="0"/>
        <v>2452.7817491569917</v>
      </c>
    </row>
    <row r="37" spans="1:13" x14ac:dyDescent="0.25">
      <c r="L37">
        <v>8</v>
      </c>
      <c r="M37">
        <f t="shared" si="0"/>
        <v>2501.8373841401317</v>
      </c>
    </row>
    <row r="38" spans="1:13" x14ac:dyDescent="0.25">
      <c r="L38">
        <v>9</v>
      </c>
      <c r="M38">
        <f t="shared" si="0"/>
        <v>2551.8741318229345</v>
      </c>
    </row>
    <row r="39" spans="1:13" x14ac:dyDescent="0.25">
      <c r="L39">
        <v>10</v>
      </c>
      <c r="M39">
        <f t="shared" si="0"/>
        <v>2602.9116144593931</v>
      </c>
    </row>
    <row r="40" spans="1:13" x14ac:dyDescent="0.25">
      <c r="L40" s="3" t="s">
        <v>37</v>
      </c>
      <c r="M40">
        <f>SUM(M30:M34)*12</f>
        <v>136012.79362175998</v>
      </c>
    </row>
    <row r="41" spans="1:13" x14ac:dyDescent="0.25">
      <c r="L41" s="3" t="s">
        <v>38</v>
      </c>
      <c r="M41">
        <f>SUM(M30:M39)*12</f>
        <v>286181.90804914857</v>
      </c>
    </row>
    <row r="42" spans="1:13" x14ac:dyDescent="0.25">
      <c r="L42" s="3" t="s">
        <v>39</v>
      </c>
      <c r="M42">
        <f>M40*0.0562</f>
        <v>7643.9190015429103</v>
      </c>
    </row>
    <row r="43" spans="1:13" x14ac:dyDescent="0.25">
      <c r="L43" s="3" t="s">
        <v>40</v>
      </c>
      <c r="M43">
        <f>M41*0.0562</f>
        <v>16083.423232362149</v>
      </c>
    </row>
    <row r="44" spans="1:13" x14ac:dyDescent="0.25">
      <c r="D44" t="s">
        <v>7</v>
      </c>
      <c r="G44" t="s">
        <v>7</v>
      </c>
    </row>
    <row r="46" spans="1:13" x14ac:dyDescent="0.25">
      <c r="A46" t="s">
        <v>33</v>
      </c>
      <c r="F46" s="2" t="s">
        <v>30</v>
      </c>
    </row>
    <row r="47" spans="1:13" x14ac:dyDescent="0.25">
      <c r="A47" t="s">
        <v>34</v>
      </c>
      <c r="F47" s="2" t="s">
        <v>31</v>
      </c>
    </row>
  </sheetData>
  <hyperlinks>
    <hyperlink ref="C32" r:id="rId1"/>
    <hyperlink ref="F46" r:id="rId2"/>
    <hyperlink ref="F47" r:id="rId3"/>
    <hyperlink ref="H3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52"/>
  <sheetViews>
    <sheetView tabSelected="1" workbookViewId="0">
      <selection activeCell="A25" sqref="A25"/>
    </sheetView>
  </sheetViews>
  <sheetFormatPr defaultRowHeight="15" x14ac:dyDescent="0.25"/>
  <sheetData>
    <row r="1" spans="1:26" x14ac:dyDescent="0.25">
      <c r="D1" s="22"/>
      <c r="E1" s="22"/>
      <c r="F1" s="22"/>
      <c r="H1" s="28" t="s">
        <v>48</v>
      </c>
      <c r="I1" s="23"/>
      <c r="J1" s="23"/>
      <c r="L1" s="24"/>
      <c r="M1" s="22"/>
      <c r="N1" s="22"/>
      <c r="O1" s="23"/>
      <c r="S1" s="22"/>
      <c r="T1" s="22"/>
      <c r="X1" s="24"/>
      <c r="Y1" s="24"/>
      <c r="Z1" s="24"/>
    </row>
    <row r="2" spans="1:26" x14ac:dyDescent="0.25">
      <c r="D2" s="22"/>
      <c r="E2" s="22">
        <v>2011</v>
      </c>
      <c r="F2" s="22"/>
      <c r="H2" s="23">
        <v>2012</v>
      </c>
      <c r="I2" s="23"/>
      <c r="J2" s="23"/>
      <c r="K2">
        <v>2013</v>
      </c>
      <c r="L2" s="24"/>
      <c r="M2" s="22"/>
      <c r="N2" s="22" t="s">
        <v>44</v>
      </c>
      <c r="O2" s="23"/>
      <c r="S2" s="22"/>
      <c r="T2" s="22"/>
      <c r="X2" s="24"/>
      <c r="Y2" s="24"/>
      <c r="Z2" s="24"/>
    </row>
    <row r="3" spans="1:26" x14ac:dyDescent="0.25">
      <c r="D3" s="22"/>
      <c r="E3" s="22"/>
      <c r="F3" s="22"/>
      <c r="H3" s="23"/>
      <c r="I3" s="23"/>
      <c r="J3" s="23"/>
      <c r="L3" s="24"/>
      <c r="M3" s="22"/>
      <c r="N3" s="22"/>
      <c r="O3" s="23"/>
      <c r="S3" s="22"/>
      <c r="T3" s="22"/>
      <c r="X3" s="24"/>
      <c r="Y3" s="24"/>
      <c r="Z3" s="24"/>
    </row>
    <row r="4" spans="1:26" x14ac:dyDescent="0.25">
      <c r="E4" s="25" t="s">
        <v>13</v>
      </c>
      <c r="F4" s="26"/>
      <c r="G4" s="26"/>
      <c r="H4" s="25" t="s">
        <v>14</v>
      </c>
      <c r="I4" s="26"/>
      <c r="J4" s="26"/>
      <c r="K4" s="25" t="s">
        <v>15</v>
      </c>
      <c r="N4" s="25" t="s">
        <v>45</v>
      </c>
      <c r="Y4" s="9" t="s">
        <v>15</v>
      </c>
    </row>
    <row r="5" spans="1:26" x14ac:dyDescent="0.25">
      <c r="E5" s="9"/>
      <c r="I5" s="9"/>
      <c r="Y5" s="9"/>
    </row>
    <row r="6" spans="1:26" x14ac:dyDescent="0.25">
      <c r="E6" s="9"/>
    </row>
    <row r="8" spans="1:26" x14ac:dyDescent="0.25">
      <c r="A8" s="3" t="s">
        <v>1</v>
      </c>
      <c r="E8" s="1">
        <f>0.65*(5486.58+784.14+526.66+1006.51+3899.75)</f>
        <v>7607.366</v>
      </c>
      <c r="F8" s="10">
        <v>1</v>
      </c>
      <c r="H8" s="1">
        <f>0.65*(5486.58+784.14+526.66+1006.51+3899.75)</f>
        <v>7607.366</v>
      </c>
      <c r="I8" s="12">
        <v>7</v>
      </c>
      <c r="K8" s="1">
        <v>6600</v>
      </c>
      <c r="N8" s="1">
        <v>6600</v>
      </c>
      <c r="O8" s="11">
        <v>8</v>
      </c>
      <c r="V8" s="3" t="s">
        <v>0</v>
      </c>
      <c r="W8" t="s">
        <v>7</v>
      </c>
    </row>
    <row r="9" spans="1:26" x14ac:dyDescent="0.25">
      <c r="A9" s="4" t="s">
        <v>2</v>
      </c>
      <c r="E9" s="1"/>
      <c r="H9" s="1"/>
      <c r="K9" s="1"/>
      <c r="N9" s="1"/>
      <c r="O9" s="4"/>
      <c r="V9" s="4" t="s">
        <v>2</v>
      </c>
    </row>
    <row r="10" spans="1:26" x14ac:dyDescent="0.25">
      <c r="A10" s="4" t="s">
        <v>3</v>
      </c>
      <c r="E10" s="1">
        <f>-0.3*($E$8+$E$11)</f>
        <v>-1471.609586</v>
      </c>
      <c r="F10" s="10">
        <v>2</v>
      </c>
      <c r="H10" s="1">
        <f>-0.3*($H$8+$E$11)</f>
        <v>-1471.609586</v>
      </c>
      <c r="K10" s="1">
        <v>-1299</v>
      </c>
      <c r="N10" s="1">
        <f>-$N$8*0.088</f>
        <v>-580.79999999999995</v>
      </c>
      <c r="O10" s="4"/>
      <c r="S10" s="1"/>
      <c r="V10" s="4" t="s">
        <v>3</v>
      </c>
    </row>
    <row r="11" spans="1:26" x14ac:dyDescent="0.25">
      <c r="A11" s="4" t="s">
        <v>4</v>
      </c>
      <c r="E11">
        <f>-(25420+0.43*(($E$8)*12-75000))/12</f>
        <v>-2702.0007133333329</v>
      </c>
      <c r="F11" s="10">
        <v>3</v>
      </c>
      <c r="H11">
        <f>-(25420+0.43*(($H$8)*12-75000))/12</f>
        <v>-2702.0007133333329</v>
      </c>
      <c r="K11" s="1">
        <f>-(25420+0.43*(($K$8)*12-75000))/12</f>
        <v>-2268.8333333333335</v>
      </c>
      <c r="N11" s="1">
        <f>-(25420+0.43*(($N$8)*12-75000))/12</f>
        <v>-2268.8333333333335</v>
      </c>
      <c r="O11" s="4"/>
      <c r="V11" s="4" t="s">
        <v>4</v>
      </c>
    </row>
    <row r="12" spans="1:26" x14ac:dyDescent="0.25">
      <c r="A12" s="4" t="s">
        <v>29</v>
      </c>
      <c r="E12" s="1">
        <f>-E8*0.0123</f>
        <v>-93.570601800000006</v>
      </c>
      <c r="F12" s="21"/>
      <c r="G12" s="1"/>
      <c r="H12" s="1">
        <f>-H8*0.0123</f>
        <v>-93.570601800000006</v>
      </c>
      <c r="I12" s="1"/>
      <c r="J12" s="1"/>
      <c r="K12" s="1">
        <f>-K8*0.0123</f>
        <v>-81.180000000000007</v>
      </c>
      <c r="N12" s="1">
        <v>-81</v>
      </c>
      <c r="O12" s="4"/>
      <c r="V12" s="4"/>
    </row>
    <row r="13" spans="1:26" x14ac:dyDescent="0.25">
      <c r="A13" s="3"/>
      <c r="E13" s="1"/>
      <c r="H13" s="1"/>
      <c r="K13" s="1"/>
      <c r="N13" s="1"/>
      <c r="O13" s="3"/>
      <c r="V13" s="3"/>
    </row>
    <row r="14" spans="1:26" x14ac:dyDescent="0.25">
      <c r="A14" s="3" t="s">
        <v>5</v>
      </c>
      <c r="E14" s="1">
        <f>0.65*4003.11</f>
        <v>2602.0215000000003</v>
      </c>
      <c r="F14" s="10">
        <v>4</v>
      </c>
      <c r="H14" s="1">
        <f>0.65*4003.11</f>
        <v>2602.0215000000003</v>
      </c>
      <c r="K14" s="1">
        <v>4500</v>
      </c>
      <c r="N14" s="1">
        <v>4500</v>
      </c>
      <c r="O14" s="7">
        <v>11</v>
      </c>
      <c r="V14" s="3" t="s">
        <v>8</v>
      </c>
    </row>
    <row r="15" spans="1:26" x14ac:dyDescent="0.25">
      <c r="A15" s="3"/>
      <c r="E15" s="1"/>
      <c r="H15" s="1"/>
      <c r="K15" s="1"/>
      <c r="N15" s="1"/>
    </row>
    <row r="16" spans="1:26" x14ac:dyDescent="0.25">
      <c r="A16" s="3" t="s">
        <v>42</v>
      </c>
      <c r="E16" s="1">
        <f>E8*0.25</f>
        <v>1901.8415</v>
      </c>
      <c r="F16" s="10">
        <v>10</v>
      </c>
      <c r="H16" s="1">
        <v>0</v>
      </c>
      <c r="K16" s="1">
        <v>0</v>
      </c>
      <c r="N16" s="1">
        <v>0</v>
      </c>
    </row>
    <row r="17" spans="1:25" x14ac:dyDescent="0.25">
      <c r="A17" s="3"/>
      <c r="E17" s="1"/>
      <c r="H17" s="1"/>
      <c r="K17" s="1"/>
      <c r="N17" s="1"/>
    </row>
    <row r="18" spans="1:25" x14ac:dyDescent="0.25">
      <c r="A18" s="5" t="s">
        <v>47</v>
      </c>
      <c r="E18" s="6">
        <f>SUM(E8:E16)-E14*4/15</f>
        <v>7150.1756988666675</v>
      </c>
      <c r="F18" s="7">
        <v>9</v>
      </c>
      <c r="H18" s="6">
        <f>SUM(H8:H11)+H14-H14*4/15</f>
        <v>5341.9048006666671</v>
      </c>
      <c r="I18" s="7">
        <v>9</v>
      </c>
      <c r="K18" s="6">
        <f>SUM(K8:K14)-40*4</f>
        <v>7290.9866666666667</v>
      </c>
      <c r="L18" s="7">
        <v>9</v>
      </c>
      <c r="N18" s="6">
        <f>SUM(N8:N14)-40*4</f>
        <v>8009.3666666666668</v>
      </c>
      <c r="O18" s="7">
        <v>9</v>
      </c>
      <c r="X18" s="7">
        <v>9</v>
      </c>
    </row>
    <row r="19" spans="1:25" x14ac:dyDescent="0.25">
      <c r="A19" s="3"/>
      <c r="E19" s="1"/>
      <c r="H19" s="1"/>
      <c r="N19" s="1"/>
    </row>
    <row r="20" spans="1:25" x14ac:dyDescent="0.25">
      <c r="A20" s="5" t="s">
        <v>41</v>
      </c>
      <c r="E20" s="6">
        <f>SUM(E8:E16)</f>
        <v>7844.0480988666677</v>
      </c>
      <c r="F20" s="7">
        <v>9</v>
      </c>
      <c r="H20" s="6">
        <f>SUM(H8:H14)</f>
        <v>5942.2065988666673</v>
      </c>
      <c r="I20" s="7">
        <v>9</v>
      </c>
      <c r="K20" s="6">
        <f>SUM(K8:K14)</f>
        <v>7450.9866666666667</v>
      </c>
      <c r="L20" s="7">
        <v>9</v>
      </c>
      <c r="N20" s="6">
        <f>SUM(N8:N14)</f>
        <v>8169.3666666666668</v>
      </c>
      <c r="O20" s="7">
        <v>9</v>
      </c>
      <c r="X20" s="7">
        <v>9</v>
      </c>
    </row>
    <row r="21" spans="1:25" x14ac:dyDescent="0.25">
      <c r="A21" s="3"/>
      <c r="E21" s="1"/>
      <c r="K21" s="1"/>
      <c r="Y21" s="1"/>
    </row>
    <row r="22" spans="1:25" x14ac:dyDescent="0.25">
      <c r="E22" s="1"/>
      <c r="K22" s="1"/>
    </row>
    <row r="23" spans="1:25" x14ac:dyDescent="0.25">
      <c r="A23" t="s">
        <v>9</v>
      </c>
      <c r="C23" s="1"/>
      <c r="E23" s="1"/>
      <c r="F23" s="7">
        <v>5</v>
      </c>
      <c r="H23" s="1"/>
      <c r="V23" t="s">
        <v>12</v>
      </c>
    </row>
    <row r="24" spans="1:25" x14ac:dyDescent="0.25">
      <c r="A24" t="s">
        <v>10</v>
      </c>
      <c r="C24" s="1"/>
      <c r="E24" s="1">
        <f>5*0.8*E8</f>
        <v>30429.464</v>
      </c>
      <c r="H24" s="1">
        <f>5*0.8*0.95*$H$8</f>
        <v>28907.9908</v>
      </c>
      <c r="K24" s="1">
        <f>5*0.8*0.95*$H$8</f>
        <v>28907.9908</v>
      </c>
      <c r="N24">
        <v>0</v>
      </c>
      <c r="Y24">
        <v>0</v>
      </c>
    </row>
    <row r="25" spans="1:25" x14ac:dyDescent="0.25">
      <c r="A25" t="s">
        <v>11</v>
      </c>
      <c r="C25" s="1"/>
      <c r="E25" s="1">
        <f>10*0.8*E8</f>
        <v>60858.928</v>
      </c>
      <c r="H25" s="1">
        <f>10*0.8*0.95*$H$8</f>
        <v>57815.981599999999</v>
      </c>
      <c r="K25" s="1">
        <f>10*0.8*0.95*$H$8</f>
        <v>57815.981599999999</v>
      </c>
      <c r="N25">
        <v>0</v>
      </c>
      <c r="Y25">
        <v>0</v>
      </c>
    </row>
    <row r="26" spans="1:25" x14ac:dyDescent="0.25">
      <c r="C26" s="1"/>
      <c r="E26" s="1"/>
      <c r="H26" s="1"/>
      <c r="K26" s="1"/>
      <c r="Y26">
        <v>0</v>
      </c>
    </row>
    <row r="27" spans="1:25" x14ac:dyDescent="0.25">
      <c r="C27" s="1"/>
      <c r="E27" s="1"/>
      <c r="H27" s="1"/>
      <c r="K27" s="1"/>
      <c r="Y27">
        <v>0</v>
      </c>
    </row>
    <row r="28" spans="1:25" x14ac:dyDescent="0.25">
      <c r="A28" t="s">
        <v>6</v>
      </c>
      <c r="C28" s="1"/>
      <c r="E28" s="1"/>
      <c r="F28" s="8">
        <v>6</v>
      </c>
      <c r="H28" s="1"/>
      <c r="J28" s="1"/>
      <c r="K28" s="1"/>
      <c r="Q28" s="1"/>
      <c r="V28" t="s">
        <v>16</v>
      </c>
    </row>
    <row r="29" spans="1:25" x14ac:dyDescent="0.25">
      <c r="A29" t="s">
        <v>10</v>
      </c>
      <c r="C29" s="1"/>
      <c r="E29" s="1">
        <f>$E$8*0.8*0.3</f>
        <v>1825.7678400000002</v>
      </c>
      <c r="H29" s="1">
        <f>$E$8*0.8*0.95*0.3</f>
        <v>1734.479448</v>
      </c>
      <c r="J29" s="1"/>
      <c r="K29" s="1">
        <f>$E$8*0.8*0.95*0.3</f>
        <v>1734.479448</v>
      </c>
      <c r="N29" s="1">
        <f>O51/12</f>
        <v>636.99325012857582</v>
      </c>
      <c r="Q29" s="1"/>
    </row>
    <row r="30" spans="1:25" x14ac:dyDescent="0.25">
      <c r="A30" t="s">
        <v>11</v>
      </c>
      <c r="C30" s="1"/>
      <c r="E30" s="1">
        <f>$E$8*0.8*0.5</f>
        <v>3042.9464000000003</v>
      </c>
      <c r="H30" s="1">
        <f>$E$8*0.8*0.95*0.5</f>
        <v>2890.7990800000002</v>
      </c>
      <c r="J30" s="1"/>
      <c r="K30" s="1">
        <f>$E$8*0.8*0.95*0.5</f>
        <v>2890.7990800000002</v>
      </c>
      <c r="N30" s="1">
        <f>O52/12</f>
        <v>1340.2852693635125</v>
      </c>
      <c r="Q30" s="1"/>
    </row>
    <row r="31" spans="1:25" x14ac:dyDescent="0.25">
      <c r="C31" s="1"/>
      <c r="E31" s="1"/>
      <c r="H31" s="1"/>
      <c r="J31" s="1"/>
    </row>
    <row r="33" spans="1:26" x14ac:dyDescent="0.25">
      <c r="Z33" s="1"/>
    </row>
    <row r="34" spans="1:26" x14ac:dyDescent="0.25">
      <c r="K34" s="2"/>
      <c r="Z34" s="1"/>
    </row>
    <row r="35" spans="1:26" x14ac:dyDescent="0.25">
      <c r="Z35" s="1"/>
    </row>
    <row r="36" spans="1:26" x14ac:dyDescent="0.25">
      <c r="A36" s="2"/>
    </row>
    <row r="37" spans="1:26" x14ac:dyDescent="0.25">
      <c r="A37" s="2"/>
      <c r="N37" t="s">
        <v>36</v>
      </c>
      <c r="O37" t="s">
        <v>17</v>
      </c>
    </row>
    <row r="38" spans="1:26" x14ac:dyDescent="0.25">
      <c r="O38">
        <v>0.02</v>
      </c>
    </row>
    <row r="39" spans="1:26" x14ac:dyDescent="0.25">
      <c r="N39" s="3">
        <v>1</v>
      </c>
      <c r="O39">
        <f>$N$8*(0.088+2.75*0.088)</f>
        <v>2177.9999999999995</v>
      </c>
    </row>
    <row r="40" spans="1:26" x14ac:dyDescent="0.25">
      <c r="N40">
        <v>2</v>
      </c>
      <c r="O40">
        <f>O39*(1.02)</f>
        <v>2221.5599999999995</v>
      </c>
    </row>
    <row r="41" spans="1:26" x14ac:dyDescent="0.25">
      <c r="N41">
        <v>3</v>
      </c>
      <c r="O41">
        <f>O40*(1.02)</f>
        <v>2265.9911999999995</v>
      </c>
    </row>
    <row r="42" spans="1:26" x14ac:dyDescent="0.25">
      <c r="N42">
        <v>4</v>
      </c>
      <c r="O42">
        <f t="shared" ref="O42:O48" si="0">O41*(1.02)</f>
        <v>2311.3110239999996</v>
      </c>
    </row>
    <row r="43" spans="1:26" x14ac:dyDescent="0.25">
      <c r="F43" s="1"/>
      <c r="G43" s="1"/>
      <c r="N43">
        <v>5</v>
      </c>
      <c r="O43">
        <f t="shared" si="0"/>
        <v>2357.5372444799996</v>
      </c>
    </row>
    <row r="44" spans="1:26" x14ac:dyDescent="0.25">
      <c r="F44" s="1"/>
      <c r="G44" s="1"/>
      <c r="N44" s="3">
        <v>6</v>
      </c>
      <c r="O44">
        <f t="shared" si="0"/>
        <v>2404.6879893695996</v>
      </c>
    </row>
    <row r="45" spans="1:26" x14ac:dyDescent="0.25">
      <c r="N45">
        <v>7</v>
      </c>
      <c r="O45">
        <f t="shared" si="0"/>
        <v>2452.7817491569917</v>
      </c>
    </row>
    <row r="46" spans="1:26" x14ac:dyDescent="0.25">
      <c r="N46">
        <v>8</v>
      </c>
      <c r="O46">
        <f t="shared" si="0"/>
        <v>2501.8373841401317</v>
      </c>
    </row>
    <row r="47" spans="1:26" x14ac:dyDescent="0.25">
      <c r="N47">
        <v>9</v>
      </c>
      <c r="O47">
        <f t="shared" si="0"/>
        <v>2551.8741318229345</v>
      </c>
    </row>
    <row r="48" spans="1:26" x14ac:dyDescent="0.25">
      <c r="N48">
        <v>10</v>
      </c>
      <c r="O48">
        <f t="shared" si="0"/>
        <v>2602.9116144593931</v>
      </c>
    </row>
    <row r="49" spans="14:15" x14ac:dyDescent="0.25">
      <c r="N49" s="3" t="s">
        <v>37</v>
      </c>
      <c r="O49">
        <f>SUM(O39:O43)*12</f>
        <v>136012.79362175998</v>
      </c>
    </row>
    <row r="50" spans="14:15" x14ac:dyDescent="0.25">
      <c r="N50" s="3" t="s">
        <v>38</v>
      </c>
      <c r="O50">
        <f>SUM(O39:O48)*12</f>
        <v>286181.90804914857</v>
      </c>
    </row>
    <row r="51" spans="14:15" x14ac:dyDescent="0.25">
      <c r="N51" s="3" t="s">
        <v>39</v>
      </c>
      <c r="O51">
        <f>O49*0.0562</f>
        <v>7643.9190015429103</v>
      </c>
    </row>
    <row r="52" spans="14:15" x14ac:dyDescent="0.25">
      <c r="N52" s="3" t="s">
        <v>40</v>
      </c>
      <c r="O52">
        <f>O50*0.0562</f>
        <v>16083.423232362149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piemonte</vt:lpstr>
      <vt:lpstr>veneto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2013-12-11T09:53:34Z</dcterms:modified>
</cp:coreProperties>
</file>